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90" yWindow="1065" windowWidth="25605" windowHeight="1693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B26" i="1"/>
  <c r="B25" i="1"/>
  <c r="B20" i="1"/>
  <c r="B19" i="1"/>
  <c r="B18" i="1"/>
  <c r="B14" i="1"/>
  <c r="B13" i="1"/>
  <c r="B12" i="1"/>
  <c r="H20" i="1"/>
  <c r="J27" i="1"/>
  <c r="J26" i="1"/>
  <c r="H18" i="1"/>
  <c r="F12" i="1"/>
  <c r="J12" i="1"/>
  <c r="K12" i="1"/>
  <c r="J25" i="1"/>
  <c r="I20" i="1"/>
  <c r="G20" i="1"/>
  <c r="I27" i="1"/>
  <c r="I26" i="1"/>
  <c r="G18" i="1"/>
  <c r="G12" i="1"/>
  <c r="H12" i="1"/>
  <c r="I25" i="1"/>
  <c r="D25" i="1"/>
  <c r="C25" i="1"/>
  <c r="L27" i="1"/>
  <c r="K27" i="1"/>
  <c r="L26" i="1"/>
  <c r="K26" i="1"/>
  <c r="L25" i="1"/>
  <c r="K25" i="1"/>
  <c r="D27" i="1"/>
  <c r="D26" i="1"/>
  <c r="C27" i="1"/>
  <c r="C26" i="1"/>
  <c r="L18" i="1"/>
  <c r="F27" i="1"/>
  <c r="E27" i="1"/>
  <c r="F26" i="1"/>
  <c r="E26" i="1"/>
  <c r="F25" i="1"/>
  <c r="E25" i="1"/>
  <c r="N8" i="1"/>
  <c r="C20" i="1"/>
  <c r="J20" i="1"/>
  <c r="L20" i="1"/>
  <c r="N7" i="1"/>
  <c r="C19" i="1"/>
  <c r="J19" i="1"/>
  <c r="L19" i="1"/>
  <c r="N6" i="1"/>
  <c r="C18" i="1"/>
  <c r="J18" i="1"/>
  <c r="K20" i="1"/>
  <c r="I19" i="1"/>
  <c r="K19" i="1"/>
  <c r="I18" i="1"/>
  <c r="K18" i="1"/>
  <c r="K14" i="1"/>
  <c r="K13" i="1"/>
  <c r="H14" i="1"/>
  <c r="H13" i="1"/>
  <c r="L14" i="1"/>
  <c r="L13" i="1"/>
  <c r="L12" i="1"/>
  <c r="I14" i="1"/>
  <c r="I13" i="1"/>
  <c r="I12" i="1"/>
  <c r="J14" i="1"/>
  <c r="J13" i="1"/>
  <c r="G14" i="1"/>
  <c r="G13" i="1"/>
  <c r="F14" i="1"/>
  <c r="F13" i="1"/>
  <c r="H19" i="1"/>
  <c r="G19" i="1"/>
  <c r="D20" i="1"/>
  <c r="D19" i="1"/>
  <c r="D18" i="1"/>
  <c r="N20" i="1"/>
  <c r="M20" i="1"/>
  <c r="N19" i="1"/>
  <c r="M19" i="1"/>
  <c r="N18" i="1"/>
  <c r="M18" i="1"/>
</calcChain>
</file>

<file path=xl/sharedStrings.xml><?xml version="1.0" encoding="utf-8"?>
<sst xmlns="http://schemas.openxmlformats.org/spreadsheetml/2006/main" count="76" uniqueCount="54">
  <si>
    <t>マンション名</t>
    <rPh sb="5" eb="6">
      <t>メイ</t>
    </rPh>
    <phoneticPr fontId="1"/>
  </si>
  <si>
    <t>竣工年</t>
    <rPh sb="0" eb="2">
      <t>シュンコウ</t>
    </rPh>
    <rPh sb="2" eb="3">
      <t>ネン</t>
    </rPh>
    <phoneticPr fontId="1"/>
  </si>
  <si>
    <t>階</t>
    <rPh sb="0" eb="1">
      <t>カイ</t>
    </rPh>
    <phoneticPr fontId="1"/>
  </si>
  <si>
    <t>方角</t>
    <rPh sb="0" eb="2">
      <t>ホウガク</t>
    </rPh>
    <phoneticPr fontId="1"/>
  </si>
  <si>
    <t>管理費</t>
    <rPh sb="0" eb="3">
      <t>カンリヒ</t>
    </rPh>
    <phoneticPr fontId="2"/>
  </si>
  <si>
    <t>修繕
積立金</t>
    <rPh sb="0" eb="2">
      <t>シュウゼン</t>
    </rPh>
    <rPh sb="3" eb="5">
      <t>ツミタテ</t>
    </rPh>
    <rPh sb="5" eb="6">
      <t>キン</t>
    </rPh>
    <phoneticPr fontId="2"/>
  </si>
  <si>
    <t>固定資産税
1～5年</t>
    <rPh sb="0" eb="2">
      <t>コテイ</t>
    </rPh>
    <rPh sb="2" eb="4">
      <t>シサン</t>
    </rPh>
    <rPh sb="4" eb="5">
      <t>ゼイ</t>
    </rPh>
    <rPh sb="9" eb="10">
      <t>ネン</t>
    </rPh>
    <phoneticPr fontId="1"/>
  </si>
  <si>
    <t>固定資産税
6～10年</t>
    <rPh sb="0" eb="2">
      <t>コテイ</t>
    </rPh>
    <rPh sb="2" eb="4">
      <t>シサン</t>
    </rPh>
    <rPh sb="4" eb="5">
      <t>ゼイ</t>
    </rPh>
    <rPh sb="10" eb="11">
      <t>ネン</t>
    </rPh>
    <phoneticPr fontId="1"/>
  </si>
  <si>
    <t>初期費用総額(万円)</t>
    <rPh sb="0" eb="2">
      <t>ショキ</t>
    </rPh>
    <rPh sb="2" eb="4">
      <t>ヒヨウ</t>
    </rPh>
    <rPh sb="4" eb="6">
      <t>ソウガク</t>
    </rPh>
    <rPh sb="7" eb="8">
      <t>マン</t>
    </rPh>
    <rPh sb="8" eb="9">
      <t>エン</t>
    </rPh>
    <phoneticPr fontId="1"/>
  </si>
  <si>
    <t>占有面積
（m²）</t>
    <rPh sb="0" eb="2">
      <t>センユウ</t>
    </rPh>
    <rPh sb="2" eb="4">
      <t>メンセキ</t>
    </rPh>
    <phoneticPr fontId="2"/>
  </si>
  <si>
    <t>坪数</t>
    <rPh sb="0" eb="1">
      <t>ツボ</t>
    </rPh>
    <rPh sb="1" eb="2">
      <t>スウ</t>
    </rPh>
    <phoneticPr fontId="2"/>
  </si>
  <si>
    <t>坪単価（万円）</t>
    <rPh sb="0" eb="1">
      <t>ツボ</t>
    </rPh>
    <rPh sb="1" eb="3">
      <t>タンカ</t>
    </rPh>
    <rPh sb="4" eb="6">
      <t>マンエン</t>
    </rPh>
    <phoneticPr fontId="1"/>
  </si>
  <si>
    <t>running cost（万円）※3</t>
    <phoneticPr fontId="1"/>
  </si>
  <si>
    <t>想定物件価格（万円）</t>
    <rPh sb="0" eb="2">
      <t>ソウテイ</t>
    </rPh>
    <phoneticPr fontId="1"/>
  </si>
  <si>
    <t>賃貸家賃換算（万円）</t>
    <rPh sb="0" eb="2">
      <t>チンタイ</t>
    </rPh>
    <rPh sb="2" eb="4">
      <t>ヤチン</t>
    </rPh>
    <rPh sb="4" eb="6">
      <t>カンサン</t>
    </rPh>
    <phoneticPr fontId="1"/>
  </si>
  <si>
    <t>現在</t>
    <rPh sb="0" eb="2">
      <t>ゲンザイ</t>
    </rPh>
    <phoneticPr fontId="2"/>
  </si>
  <si>
    <t>5年後</t>
    <rPh sb="1" eb="3">
      <t>ネンゴ</t>
    </rPh>
    <phoneticPr fontId="2"/>
  </si>
  <si>
    <t>10年後</t>
    <rPh sb="2" eb="4">
      <t>ネンゴ</t>
    </rPh>
    <phoneticPr fontId="2"/>
  </si>
  <si>
    <t>5年分</t>
    <rPh sb="1" eb="3">
      <t>ネンブン</t>
    </rPh>
    <phoneticPr fontId="2"/>
  </si>
  <si>
    <t>10年分</t>
    <rPh sb="2" eb="4">
      <t>ネンブン</t>
    </rPh>
    <phoneticPr fontId="2"/>
  </si>
  <si>
    <t>東</t>
    <rPh sb="0" eb="1">
      <t>ヒガシ</t>
    </rPh>
    <phoneticPr fontId="1"/>
  </si>
  <si>
    <t>東雲のマンション</t>
    <rPh sb="0" eb="2">
      <t>シノノメ</t>
    </rPh>
    <phoneticPr fontId="1"/>
  </si>
  <si>
    <t>晴海のマンション</t>
    <rPh sb="0" eb="2">
      <t>ハルミ</t>
    </rPh>
    <phoneticPr fontId="1"/>
  </si>
  <si>
    <t>豊洲の中古マンション</t>
    <rPh sb="0" eb="2">
      <t>トヨス</t>
    </rPh>
    <rPh sb="3" eb="5">
      <t>チュウコ</t>
    </rPh>
    <phoneticPr fontId="1"/>
  </si>
  <si>
    <t>南</t>
    <rPh sb="0" eb="1">
      <t>ミナミ</t>
    </rPh>
    <phoneticPr fontId="1"/>
  </si>
  <si>
    <t>西</t>
    <rPh sb="0" eb="1">
      <t>ニシ</t>
    </rPh>
    <phoneticPr fontId="1"/>
  </si>
  <si>
    <t>築年数</t>
    <rPh sb="0" eb="3">
      <t>チクネンスウ</t>
    </rPh>
    <phoneticPr fontId="1"/>
  </si>
  <si>
    <t>物件価格
(円)</t>
    <rPh sb="0" eb="2">
      <t>ブッケン</t>
    </rPh>
    <rPh sb="2" eb="4">
      <t>カカク</t>
    </rPh>
    <phoneticPr fontId="1"/>
  </si>
  <si>
    <t>販売差+ランニングコスト（万円）</t>
    <phoneticPr fontId="1"/>
  </si>
  <si>
    <t>5年後売却</t>
    <rPh sb="1" eb="3">
      <t>ネンゴ</t>
    </rPh>
    <rPh sb="3" eb="5">
      <t>バイキャク</t>
    </rPh>
    <phoneticPr fontId="2"/>
  </si>
  <si>
    <t>10年後売却</t>
    <rPh sb="2" eb="4">
      <t>ネンゴ</t>
    </rPh>
    <rPh sb="4" eb="6">
      <t>バイキャク</t>
    </rPh>
    <phoneticPr fontId="2"/>
  </si>
  <si>
    <t>2013年</t>
    <rPh sb="4" eb="5">
      <t>ネン</t>
    </rPh>
    <phoneticPr fontId="1"/>
  </si>
  <si>
    <t>2007年</t>
    <rPh sb="4" eb="5">
      <t>ネン</t>
    </rPh>
    <phoneticPr fontId="1"/>
  </si>
  <si>
    <t>ローン利率
％</t>
    <rPh sb="3" eb="5">
      <t>リリツ</t>
    </rPh>
    <phoneticPr fontId="1"/>
  </si>
  <si>
    <t>ローン総額
(円)</t>
    <rPh sb="3" eb="5">
      <t>ソウガク</t>
    </rPh>
    <phoneticPr fontId="1"/>
  </si>
  <si>
    <t>固定or変動</t>
    <rPh sb="0" eb="2">
      <t>コテイ</t>
    </rPh>
    <rPh sb="4" eb="6">
      <t>ヘンドウ</t>
    </rPh>
    <phoneticPr fontId="1"/>
  </si>
  <si>
    <t>10年固定</t>
    <rPh sb="2" eb="3">
      <t>ネン</t>
    </rPh>
    <rPh sb="3" eb="5">
      <t>コテイ</t>
    </rPh>
    <phoneticPr fontId="1"/>
  </si>
  <si>
    <t>変動</t>
    <rPh sb="0" eb="2">
      <t>ヘンドウ</t>
    </rPh>
    <phoneticPr fontId="1"/>
  </si>
  <si>
    <t>35年ローン時
月返済額</t>
    <rPh sb="2" eb="3">
      <t>ネン</t>
    </rPh>
    <rPh sb="6" eb="7">
      <t>ジ</t>
    </rPh>
    <rPh sb="8" eb="9">
      <t>ツキ</t>
    </rPh>
    <rPh sb="9" eb="11">
      <t>ヘンサイ</t>
    </rPh>
    <rPh sb="11" eb="12">
      <t>ガク</t>
    </rPh>
    <phoneticPr fontId="1"/>
  </si>
  <si>
    <t>5年後
元金返済額</t>
    <rPh sb="1" eb="3">
      <t>ネンゴ</t>
    </rPh>
    <rPh sb="4" eb="6">
      <t>ガンキン</t>
    </rPh>
    <rPh sb="6" eb="8">
      <t>ヘンサイ</t>
    </rPh>
    <rPh sb="8" eb="9">
      <t>ガク</t>
    </rPh>
    <phoneticPr fontId="1"/>
  </si>
  <si>
    <t>10年後
元金返済額</t>
    <rPh sb="2" eb="4">
      <t>ネンゴ</t>
    </rPh>
    <rPh sb="5" eb="7">
      <t>ガンキン</t>
    </rPh>
    <rPh sb="7" eb="9">
      <t>ヘンサイ</t>
    </rPh>
    <rPh sb="9" eb="10">
      <t>ガク</t>
    </rPh>
    <phoneticPr fontId="1"/>
  </si>
  <si>
    <t>5年後
ローン残高</t>
    <rPh sb="1" eb="3">
      <t>ネンゴ</t>
    </rPh>
    <rPh sb="7" eb="9">
      <t>ザンダカ</t>
    </rPh>
    <phoneticPr fontId="1"/>
  </si>
  <si>
    <t>10年分
金利負担額</t>
    <rPh sb="2" eb="4">
      <t>ネンブン</t>
    </rPh>
    <rPh sb="5" eb="7">
      <t>キンリ</t>
    </rPh>
    <rPh sb="7" eb="9">
      <t>フタン</t>
    </rPh>
    <rPh sb="9" eb="10">
      <t>ガク</t>
    </rPh>
    <phoneticPr fontId="1"/>
  </si>
  <si>
    <t>5年分
金利負担額</t>
    <rPh sb="1" eb="3">
      <t>ネンブン</t>
    </rPh>
    <rPh sb="4" eb="6">
      <t>キンリ</t>
    </rPh>
    <rPh sb="6" eb="8">
      <t>フタン</t>
    </rPh>
    <rPh sb="8" eb="9">
      <t>ガク</t>
    </rPh>
    <phoneticPr fontId="1"/>
  </si>
  <si>
    <t>2013年度住宅ローン減税を考慮した場合(ローン残高が10年後2000万円を上回っている場合）</t>
    <rPh sb="4" eb="6">
      <t>ネンド</t>
    </rPh>
    <rPh sb="6" eb="8">
      <t>ジュウタク</t>
    </rPh>
    <rPh sb="11" eb="13">
      <t>ゲンゼイ</t>
    </rPh>
    <rPh sb="14" eb="16">
      <t>コウリョ</t>
    </rPh>
    <rPh sb="18" eb="20">
      <t>バアイ</t>
    </rPh>
    <rPh sb="24" eb="26">
      <t>ザンダカ</t>
    </rPh>
    <rPh sb="29" eb="31">
      <t>ネンゴ</t>
    </rPh>
    <rPh sb="35" eb="37">
      <t>マンエン</t>
    </rPh>
    <rPh sb="38" eb="40">
      <t>ウワマワ</t>
    </rPh>
    <rPh sb="44" eb="46">
      <t>バアイ</t>
    </rPh>
    <phoneticPr fontId="1"/>
  </si>
  <si>
    <t>2014年度住宅ローン減税を考慮した場合(ローン残高が10年後4000万円を上回っている場合）</t>
    <rPh sb="4" eb="6">
      <t>ネンド</t>
    </rPh>
    <rPh sb="6" eb="8">
      <t>ジュウタク</t>
    </rPh>
    <rPh sb="11" eb="13">
      <t>ゲンゼイ</t>
    </rPh>
    <rPh sb="14" eb="16">
      <t>コウリョ</t>
    </rPh>
    <rPh sb="18" eb="20">
      <t>バアイ</t>
    </rPh>
    <rPh sb="24" eb="26">
      <t>ザンダカ</t>
    </rPh>
    <rPh sb="29" eb="31">
      <t>ネンゴ</t>
    </rPh>
    <rPh sb="35" eb="37">
      <t>マンエン</t>
    </rPh>
    <rPh sb="38" eb="40">
      <t>ウワマワ</t>
    </rPh>
    <rPh sb="44" eb="46">
      <t>バアイ</t>
    </rPh>
    <phoneticPr fontId="1"/>
  </si>
  <si>
    <t>初期経費
(円)</t>
    <rPh sb="0" eb="2">
      <t>ショキ</t>
    </rPh>
    <rPh sb="2" eb="4">
      <t>ケイヒ</t>
    </rPh>
    <phoneticPr fontId="1"/>
  </si>
  <si>
    <t>リフォーム
(円)</t>
    <phoneticPr fontId="1"/>
  </si>
  <si>
    <t>リフォームは、壁紙張替え・トイレ入れ替え・床張替え＋α分で計算</t>
    <rPh sb="7" eb="9">
      <t>カベガミ</t>
    </rPh>
    <rPh sb="9" eb="11">
      <t>ハリカ</t>
    </rPh>
    <rPh sb="16" eb="17">
      <t>イ</t>
    </rPh>
    <rPh sb="18" eb="19">
      <t>カ</t>
    </rPh>
    <rPh sb="21" eb="22">
      <t>ユカ</t>
    </rPh>
    <rPh sb="22" eb="24">
      <t>ハリカ</t>
    </rPh>
    <rPh sb="27" eb="28">
      <t>ブン</t>
    </rPh>
    <rPh sb="29" eb="31">
      <t>ケイサン</t>
    </rPh>
    <phoneticPr fontId="1"/>
  </si>
  <si>
    <t>5年、10年後の坪単価予想は適当に入力。のらえもんの予想ではないことに注意。</t>
    <rPh sb="1" eb="2">
      <t>ネン</t>
    </rPh>
    <rPh sb="5" eb="7">
      <t>ネンゴ</t>
    </rPh>
    <rPh sb="8" eb="9">
      <t>ツボ</t>
    </rPh>
    <rPh sb="9" eb="11">
      <t>タンカ</t>
    </rPh>
    <rPh sb="11" eb="13">
      <t>ヨソウ</t>
    </rPh>
    <rPh sb="14" eb="16">
      <t>テキトウ</t>
    </rPh>
    <rPh sb="17" eb="19">
      <t>ニュウリョク</t>
    </rPh>
    <rPh sb="26" eb="28">
      <t>ヨソウ</t>
    </rPh>
    <rPh sb="35" eb="37">
      <t>チュウイ</t>
    </rPh>
    <phoneticPr fontId="1"/>
  </si>
  <si>
    <t>10年後の物件売却を見据えたシミュレーション表</t>
    <rPh sb="2" eb="4">
      <t>ネンゴ</t>
    </rPh>
    <rPh sb="5" eb="7">
      <t>ブッケン</t>
    </rPh>
    <rPh sb="7" eb="9">
      <t>バイキャク</t>
    </rPh>
    <rPh sb="10" eb="12">
      <t>ミス</t>
    </rPh>
    <rPh sb="22" eb="23">
      <t>ヒョウ</t>
    </rPh>
    <phoneticPr fontId="1"/>
  </si>
  <si>
    <t>注意：</t>
    <rPh sb="0" eb="2">
      <t>チュウイ</t>
    </rPh>
    <phoneticPr fontId="1"/>
  </si>
  <si>
    <t>変動要素は赤い部分。ここを記入すればあとは全自動計算。新築～築5年の固定資産税平均は減税によって7万円程度</t>
    <rPh sb="0" eb="2">
      <t>ヘンドウ</t>
    </rPh>
    <rPh sb="2" eb="4">
      <t>ヨウソ</t>
    </rPh>
    <rPh sb="5" eb="6">
      <t>アカ</t>
    </rPh>
    <rPh sb="7" eb="9">
      <t>ブブン</t>
    </rPh>
    <rPh sb="13" eb="15">
      <t>キニュウ</t>
    </rPh>
    <rPh sb="21" eb="24">
      <t>ゼンジドウ</t>
    </rPh>
    <rPh sb="24" eb="26">
      <t>ケイサン</t>
    </rPh>
    <rPh sb="27" eb="29">
      <t>シンチク</t>
    </rPh>
    <rPh sb="30" eb="31">
      <t>チク</t>
    </rPh>
    <rPh sb="32" eb="33">
      <t>ネン</t>
    </rPh>
    <rPh sb="34" eb="36">
      <t>コテイ</t>
    </rPh>
    <rPh sb="36" eb="39">
      <t>シサンゼイ</t>
    </rPh>
    <rPh sb="39" eb="41">
      <t>ヘイキン</t>
    </rPh>
    <rPh sb="42" eb="44">
      <t>ゲンゼイ</t>
    </rPh>
    <rPh sb="49" eb="51">
      <t>マンエン</t>
    </rPh>
    <rPh sb="51" eb="53">
      <t>テイド</t>
    </rPh>
    <phoneticPr fontId="1"/>
  </si>
  <si>
    <t>修繕積立金は、5年毎に5000円づつ上がる計算にした</t>
    <rPh sb="0" eb="2">
      <t>シュウゼン</t>
    </rPh>
    <rPh sb="2" eb="4">
      <t>ツミタテ</t>
    </rPh>
    <rPh sb="4" eb="5">
      <t>キン</t>
    </rPh>
    <rPh sb="8" eb="10">
      <t>ネンゴト</t>
    </rPh>
    <rPh sb="15" eb="16">
      <t>エン</t>
    </rPh>
    <rPh sb="18" eb="19">
      <t>ア</t>
    </rPh>
    <rPh sb="21" eb="23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</si>
</sst>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&quot;¥&quot;#,##0;[Red]&quot;¥&quot;#,##0"/>
    <numFmt numFmtId="177" formatCode="0.0_);[Red]\(0.0\)"/>
    <numFmt numFmtId="178" formatCode="#,##0_ "/>
    <numFmt numFmtId="179" formatCode="#,##0;[Red]#,##0"/>
    <numFmt numFmtId="180" formatCode="#,##0.0_ "/>
    <numFmt numFmtId="182" formatCode="0.000%"/>
    <numFmt numFmtId="184" formatCode="#,##0_);[Red]\(#,##0\)"/>
  </numFmts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5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vertical="center"/>
    </xf>
    <xf numFmtId="5" fontId="6" fillId="2" borderId="1" xfId="0" applyNumberFormat="1" applyFont="1" applyFill="1" applyBorder="1" applyAlignment="1">
      <alignment vertical="center"/>
    </xf>
    <xf numFmtId="179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82" fontId="6" fillId="2" borderId="1" xfId="0" applyNumberFormat="1" applyFont="1" applyFill="1" applyBorder="1" applyAlignment="1">
      <alignment vertical="center"/>
    </xf>
    <xf numFmtId="5" fontId="8" fillId="2" borderId="1" xfId="0" applyNumberFormat="1" applyFont="1" applyFill="1" applyBorder="1" applyAlignment="1">
      <alignment vertical="center"/>
    </xf>
    <xf numFmtId="184" fontId="8" fillId="2" borderId="1" xfId="0" applyNumberFormat="1" applyFon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79" fontId="0" fillId="2" borderId="1" xfId="0" applyNumberFormat="1" applyFill="1" applyBorder="1" applyAlignment="1">
      <alignment vertical="center"/>
    </xf>
    <xf numFmtId="180" fontId="0" fillId="2" borderId="1" xfId="0" applyNumberFormat="1" applyFill="1" applyBorder="1" applyAlignment="1">
      <alignment vertical="center"/>
    </xf>
    <xf numFmtId="0" fontId="9" fillId="2" borderId="0" xfId="0" applyFont="1" applyFill="1"/>
    <xf numFmtId="0" fontId="0" fillId="2" borderId="0" xfId="0" applyFill="1" applyAlignment="1">
      <alignment horizontal="right"/>
    </xf>
    <xf numFmtId="0" fontId="10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zoomScaleNormal="100" workbookViewId="0">
      <selection activeCell="G38" sqref="G38"/>
    </sheetView>
  </sheetViews>
  <sheetFormatPr defaultColWidth="13" defaultRowHeight="14.25" x14ac:dyDescent="0.15"/>
  <cols>
    <col min="1" max="1" width="3.5" style="2" customWidth="1"/>
    <col min="2" max="2" width="21" style="2" customWidth="1"/>
    <col min="3" max="5" width="12.625" style="2" customWidth="1"/>
    <col min="6" max="6" width="15.375" style="2" customWidth="1"/>
    <col min="7" max="15" width="12.625" style="2" customWidth="1"/>
    <col min="16" max="16" width="11.375" style="2" customWidth="1"/>
    <col min="17" max="21" width="11.375" customWidth="1"/>
  </cols>
  <sheetData>
    <row r="2" spans="1:16" x14ac:dyDescent="0.15">
      <c r="B2" s="21" t="s">
        <v>50</v>
      </c>
    </row>
    <row r="4" spans="1:16" ht="27" customHeight="1" x14ac:dyDescent="0.15">
      <c r="B4" s="22" t="s">
        <v>0</v>
      </c>
      <c r="C4" s="22" t="s">
        <v>1</v>
      </c>
      <c r="D4" s="22" t="s">
        <v>26</v>
      </c>
      <c r="E4" s="22" t="s">
        <v>2</v>
      </c>
      <c r="F4" s="22" t="s">
        <v>3</v>
      </c>
      <c r="G4" s="22" t="s">
        <v>4</v>
      </c>
      <c r="H4" s="23" t="s">
        <v>5</v>
      </c>
      <c r="I4" s="24" t="s">
        <v>6</v>
      </c>
      <c r="J4" s="24" t="s">
        <v>7</v>
      </c>
      <c r="K4" s="24" t="s">
        <v>27</v>
      </c>
      <c r="L4" s="24" t="s">
        <v>46</v>
      </c>
      <c r="M4" s="24" t="s">
        <v>47</v>
      </c>
      <c r="N4" s="24" t="s">
        <v>8</v>
      </c>
      <c r="O4" s="24" t="s">
        <v>9</v>
      </c>
    </row>
    <row r="5" spans="1:16" x14ac:dyDescent="0.15">
      <c r="B5" s="22"/>
      <c r="C5" s="22"/>
      <c r="D5" s="22"/>
      <c r="E5" s="22"/>
      <c r="F5" s="22"/>
      <c r="G5" s="22"/>
      <c r="H5" s="25"/>
      <c r="I5" s="24"/>
      <c r="J5" s="24"/>
      <c r="K5" s="24"/>
      <c r="L5" s="24"/>
      <c r="M5" s="24"/>
      <c r="N5" s="24"/>
      <c r="O5" s="24"/>
    </row>
    <row r="6" spans="1:16" s="1" customFormat="1" x14ac:dyDescent="0.15">
      <c r="A6" s="2"/>
      <c r="B6" s="3" t="s">
        <v>21</v>
      </c>
      <c r="C6" s="4" t="s">
        <v>31</v>
      </c>
      <c r="D6" s="5">
        <v>0</v>
      </c>
      <c r="E6" s="5">
        <v>25</v>
      </c>
      <c r="F6" s="3" t="s">
        <v>24</v>
      </c>
      <c r="G6" s="6">
        <v>15000</v>
      </c>
      <c r="H6" s="6">
        <v>7000</v>
      </c>
      <c r="I6" s="6">
        <v>70000</v>
      </c>
      <c r="J6" s="6">
        <v>180000</v>
      </c>
      <c r="K6" s="6">
        <v>49800000</v>
      </c>
      <c r="L6" s="6">
        <v>3500000</v>
      </c>
      <c r="M6" s="7">
        <v>0</v>
      </c>
      <c r="N6" s="8">
        <f>(K6+L6+M6)/10000</f>
        <v>5330</v>
      </c>
      <c r="O6" s="9">
        <v>70</v>
      </c>
      <c r="P6" s="2"/>
    </row>
    <row r="7" spans="1:16" s="1" customFormat="1" x14ac:dyDescent="0.15">
      <c r="A7" s="2"/>
      <c r="B7" s="3" t="s">
        <v>23</v>
      </c>
      <c r="C7" s="4" t="s">
        <v>32</v>
      </c>
      <c r="D7" s="5">
        <v>5</v>
      </c>
      <c r="E7" s="5">
        <v>4</v>
      </c>
      <c r="F7" s="3" t="s">
        <v>20</v>
      </c>
      <c r="G7" s="6">
        <v>15000</v>
      </c>
      <c r="H7" s="6">
        <v>11000</v>
      </c>
      <c r="I7" s="6">
        <v>170000</v>
      </c>
      <c r="J7" s="6">
        <v>170000</v>
      </c>
      <c r="K7" s="6">
        <v>54000000</v>
      </c>
      <c r="L7" s="6">
        <v>2500000</v>
      </c>
      <c r="M7" s="7">
        <v>2500000</v>
      </c>
      <c r="N7" s="8">
        <f>(K7+L7+M7)/10000</f>
        <v>5900</v>
      </c>
      <c r="O7" s="9">
        <v>65</v>
      </c>
      <c r="P7" s="2"/>
    </row>
    <row r="8" spans="1:16" s="1" customFormat="1" x14ac:dyDescent="0.15">
      <c r="A8" s="2"/>
      <c r="B8" s="3" t="s">
        <v>22</v>
      </c>
      <c r="C8" s="4" t="s">
        <v>31</v>
      </c>
      <c r="D8" s="5">
        <v>0</v>
      </c>
      <c r="E8" s="5">
        <v>20</v>
      </c>
      <c r="F8" s="3" t="s">
        <v>25</v>
      </c>
      <c r="G8" s="6">
        <v>20000</v>
      </c>
      <c r="H8" s="6">
        <v>7000</v>
      </c>
      <c r="I8" s="6">
        <v>70000</v>
      </c>
      <c r="J8" s="6">
        <v>170000</v>
      </c>
      <c r="K8" s="6">
        <v>52000000</v>
      </c>
      <c r="L8" s="6">
        <v>3500000</v>
      </c>
      <c r="M8" s="7">
        <v>0</v>
      </c>
      <c r="N8" s="8">
        <f>(K8+L8+M8)/10000</f>
        <v>5550</v>
      </c>
      <c r="O8" s="9">
        <v>70</v>
      </c>
      <c r="P8" s="2"/>
    </row>
    <row r="10" spans="1:16" x14ac:dyDescent="0.15">
      <c r="B10" s="22" t="s">
        <v>0</v>
      </c>
      <c r="C10" s="24" t="s">
        <v>34</v>
      </c>
      <c r="D10" s="22" t="s">
        <v>35</v>
      </c>
      <c r="E10" s="24" t="s">
        <v>33</v>
      </c>
      <c r="F10" s="24" t="s">
        <v>38</v>
      </c>
      <c r="G10" s="24" t="s">
        <v>39</v>
      </c>
      <c r="H10" s="24" t="s">
        <v>43</v>
      </c>
      <c r="I10" s="24" t="s">
        <v>41</v>
      </c>
      <c r="J10" s="24" t="s">
        <v>40</v>
      </c>
      <c r="K10" s="24" t="s">
        <v>42</v>
      </c>
      <c r="L10" s="24" t="s">
        <v>41</v>
      </c>
    </row>
    <row r="11" spans="1:16" x14ac:dyDescent="0.15">
      <c r="B11" s="22"/>
      <c r="C11" s="24"/>
      <c r="D11" s="22"/>
      <c r="E11" s="24"/>
      <c r="F11" s="24"/>
      <c r="G11" s="24"/>
      <c r="H11" s="24"/>
      <c r="I11" s="24"/>
      <c r="J11" s="24"/>
      <c r="K11" s="24"/>
      <c r="L11" s="24"/>
    </row>
    <row r="12" spans="1:16" x14ac:dyDescent="0.15">
      <c r="B12" s="10" t="str">
        <f>B6</f>
        <v>東雲のマンション</v>
      </c>
      <c r="C12" s="6">
        <v>40000000</v>
      </c>
      <c r="D12" s="4" t="s">
        <v>36</v>
      </c>
      <c r="E12" s="11">
        <v>1.2999999999999999E-2</v>
      </c>
      <c r="F12" s="12">
        <f>PMT(E12/12,35*12,-C12)</f>
        <v>118592.87380666334</v>
      </c>
      <c r="G12" s="12">
        <f>(PPMT(E12/12,1,35*12,C12)+PPMT(E12/12,60,35*12,C12))*60/2</f>
        <v>-4664511.0936816176</v>
      </c>
      <c r="H12" s="12">
        <f>F12*60+G12</f>
        <v>2451061.3347181827</v>
      </c>
      <c r="I12" s="12">
        <f>C12+G12</f>
        <v>35335488.906318381</v>
      </c>
      <c r="J12" s="12">
        <f>(PPMT(E12/12,1,35*12,C12)+PPMT(E12/12,120,35*12,C12))*120/2</f>
        <v>-9652108.0555669013</v>
      </c>
      <c r="K12" s="13">
        <f>F12*120+J12</f>
        <v>4579036.8012326993</v>
      </c>
      <c r="L12" s="12">
        <f>C12+J12</f>
        <v>30347891.944433101</v>
      </c>
    </row>
    <row r="13" spans="1:16" x14ac:dyDescent="0.15">
      <c r="B13" s="10" t="str">
        <f>B7</f>
        <v>豊洲の中古マンション</v>
      </c>
      <c r="C13" s="6">
        <v>40000000</v>
      </c>
      <c r="D13" s="4" t="s">
        <v>36</v>
      </c>
      <c r="E13" s="11">
        <v>1.15E-2</v>
      </c>
      <c r="F13" s="12">
        <f>PMT(E13/12,35*12,-C13)</f>
        <v>115732.08432103606</v>
      </c>
      <c r="G13" s="12">
        <f>(PPMT(E13/12,1,35*12,C13)+PPMT(E13/12,60,35*12,C13))*60/2</f>
        <v>-4778928.7303354479</v>
      </c>
      <c r="H13" s="12">
        <f>F13*60+G13</f>
        <v>2164996.328926716</v>
      </c>
      <c r="I13" s="12">
        <f>C13+G13</f>
        <v>35221071.269664556</v>
      </c>
      <c r="J13" s="12">
        <f>(PPMT(E13/12,1,35*12,C13)+PPMT(E13/12,120,35*12,C13))*120/2</f>
        <v>-9848546.5712384526</v>
      </c>
      <c r="K13" s="13">
        <f>F13*120+J13</f>
        <v>4039303.5472858753</v>
      </c>
      <c r="L13" s="12">
        <f>C13+J13</f>
        <v>30151453.428761549</v>
      </c>
    </row>
    <row r="14" spans="1:16" x14ac:dyDescent="0.15">
      <c r="B14" s="10" t="str">
        <f>B8</f>
        <v>晴海のマンション</v>
      </c>
      <c r="C14" s="6">
        <v>40000000</v>
      </c>
      <c r="D14" s="4" t="s">
        <v>37</v>
      </c>
      <c r="E14" s="11">
        <v>7.7499999999999999E-3</v>
      </c>
      <c r="F14" s="12">
        <f>PMT(E14/12,35*12,-C14)</f>
        <v>108768.55092332033</v>
      </c>
      <c r="G14" s="12">
        <f>(PPMT(E14/12,1,35*12,C14)+PPMT(E14/12,60,35*12,C14))*60/2</f>
        <v>-5072715.9874625867</v>
      </c>
      <c r="H14" s="12">
        <f>F14*60+G14</f>
        <v>1453397.0679366337</v>
      </c>
      <c r="I14" s="12">
        <f>C14+G14</f>
        <v>34927284.012537412</v>
      </c>
      <c r="J14" s="12">
        <f>(PPMT(E14/12,1,35*12,C14)+PPMT(E14/12,120,35*12,C14))*120/2</f>
        <v>-10349607.520007603</v>
      </c>
      <c r="K14" s="13">
        <f>F14*120+J14</f>
        <v>2702618.590790838</v>
      </c>
      <c r="L14" s="12">
        <f>C14+J14</f>
        <v>29650392.479992397</v>
      </c>
    </row>
    <row r="16" spans="1:16" x14ac:dyDescent="0.15">
      <c r="B16" s="22" t="s">
        <v>0</v>
      </c>
      <c r="C16" s="26" t="s">
        <v>10</v>
      </c>
      <c r="D16" s="27" t="s">
        <v>11</v>
      </c>
      <c r="E16" s="27"/>
      <c r="F16" s="27"/>
      <c r="G16" s="27" t="s">
        <v>12</v>
      </c>
      <c r="H16" s="27"/>
      <c r="I16" s="27" t="s">
        <v>13</v>
      </c>
      <c r="J16" s="27"/>
      <c r="K16" s="26" t="s">
        <v>28</v>
      </c>
      <c r="L16" s="26"/>
      <c r="M16" s="27" t="s">
        <v>14</v>
      </c>
      <c r="N16" s="27"/>
    </row>
    <row r="17" spans="2:14" x14ac:dyDescent="0.15">
      <c r="B17" s="22"/>
      <c r="C17" s="26"/>
      <c r="D17" s="28" t="s">
        <v>15</v>
      </c>
      <c r="E17" s="28" t="s">
        <v>16</v>
      </c>
      <c r="F17" s="28" t="s">
        <v>17</v>
      </c>
      <c r="G17" s="28" t="s">
        <v>18</v>
      </c>
      <c r="H17" s="28" t="s">
        <v>19</v>
      </c>
      <c r="I17" s="28" t="s">
        <v>16</v>
      </c>
      <c r="J17" s="28" t="s">
        <v>17</v>
      </c>
      <c r="K17" s="28" t="s">
        <v>16</v>
      </c>
      <c r="L17" s="28" t="s">
        <v>17</v>
      </c>
      <c r="M17" s="28" t="s">
        <v>29</v>
      </c>
      <c r="N17" s="28" t="s">
        <v>30</v>
      </c>
    </row>
    <row r="18" spans="2:14" x14ac:dyDescent="0.15">
      <c r="B18" s="10" t="str">
        <f>B6</f>
        <v>東雲のマンション</v>
      </c>
      <c r="C18" s="14">
        <f>O6/3.3</f>
        <v>21.212121212121215</v>
      </c>
      <c r="D18" s="15">
        <f>(K6/C18)/10000</f>
        <v>234.77142857142854</v>
      </c>
      <c r="E18" s="16">
        <v>200</v>
      </c>
      <c r="F18" s="16">
        <v>170</v>
      </c>
      <c r="G18" s="17">
        <f>((G6*60)+(I6*5)+H6*12+((ROUNDDOWN(((MOD(D6,5)+1)/5),0)*5000)+H6)*12+((ROUNDDOWN(((MOD(D6,5)+2)/5),0)*5000)+H6)*12+((ROUNDDOWN(((MOD(D6,5)+3)/5),0)*5000)+H6)*12+((ROUNDDOWN(((MOD(D6,5)+4)/5),0)*5000)+H6)*12)/10000</f>
        <v>167</v>
      </c>
      <c r="H18" s="17">
        <f>((G6*120)+(I6*5)+(J6*5)+H6*12+((ROUNDDOWN(((MOD(D6,5)+1)/5),0)*5000)+H6)*12+((ROUNDDOWN(((MOD(D6,5)+2)/5),0)*5000)+H6)*12+((ROUNDDOWN(((MOD(D6,5)+3)/5),0)*5000)+H6)*12+((ROUNDDOWN(((MOD(D6,5)+4)/5),0)*5000)+H6)*12+((ROUNDDOWN(((MOD(D6,5)+5)/5),0)*5000)+H6)*12+((ROUNDDOWN(((MOD(D6,5)+6)/5),0)*5000)+H6)*12+((ROUNDDOWN(((MOD(D6,5)+7)/5),0)*5000)+H6)*12+((ROUNDDOWN(((MOD(D6,5)+8)/5),0)*5000)+H6)*12+((ROUNDDOWN(((MOD(D6,5)+9)/5),0)*5000)+H6)*12)/10000</f>
        <v>419</v>
      </c>
      <c r="I18" s="18">
        <f>C18*E18</f>
        <v>4242.4242424242429</v>
      </c>
      <c r="J18" s="18">
        <f>C18*F18</f>
        <v>3606.0606060606065</v>
      </c>
      <c r="K18" s="14">
        <f>(N6+G18+(H12/10000))-I18</f>
        <v>1499.6818910475749</v>
      </c>
      <c r="L18" s="14">
        <f>(N6+H18+(K12/10000))-J18</f>
        <v>2600.8430740626632</v>
      </c>
      <c r="M18" s="14">
        <f>K18/(12*5)</f>
        <v>24.99469818412625</v>
      </c>
      <c r="N18" s="14">
        <f>L18/(12*10)</f>
        <v>21.673692283855527</v>
      </c>
    </row>
    <row r="19" spans="2:14" x14ac:dyDescent="0.15">
      <c r="B19" s="10" t="str">
        <f>B7</f>
        <v>豊洲の中古マンション</v>
      </c>
      <c r="C19" s="14">
        <f>O7/3.3</f>
        <v>19.696969696969699</v>
      </c>
      <c r="D19" s="15">
        <f>(K7/C19)/10000</f>
        <v>274.15384615384613</v>
      </c>
      <c r="E19" s="16">
        <v>230</v>
      </c>
      <c r="F19" s="16">
        <v>190</v>
      </c>
      <c r="G19" s="17">
        <f>((G7*60)+(I7*5)+H7*12+((ROUNDDOWN(((MOD(D7,5)+1)/5),0)*5000)+H7)*12+((ROUNDDOWN(((MOD(D7,5)+2)/5),0)*5000)+H7)*12+((ROUNDDOWN(((MOD(D7,5)+3)/5),0)*5000)+H7)*12+((ROUNDDOWN(((MOD(D7,5)+4)/5),0)*5000)+H7)*12)/10000</f>
        <v>241</v>
      </c>
      <c r="H19" s="17">
        <f>((G7*120)+(I7*5)+(J7*5)+H7*12+((ROUNDDOWN(((MOD(D7,5)+1)/5),0)*5000)+H7)*12+((ROUNDDOWN(((MOD(D7,5)+2)/5),0)*5000)+H7)*12+((ROUNDDOWN(((MOD(D7,5)+3)/5),0)*5000)+H7)*12+((ROUNDDOWN(((MOD(D7,5)+4)/5),0)*5000)+H7)*12+((ROUNDDOWN(((MOD(D7,5)+5)/5),0)*5000)+H7)*12+((ROUNDDOWN(((MOD(D7,5)+6)/5),0)*5000)+H7)*12+((ROUNDDOWN(((MOD(D7,5)+7)/5),0)*5000)+H7)*12+((ROUNDDOWN(((MOD(D7,5)+8)/5),0)*5000)+H7)*12+((ROUNDDOWN(((MOD(D7,5)+9)/5),0)*5000)+H7)*12)/10000</f>
        <v>512</v>
      </c>
      <c r="I19" s="18">
        <f t="shared" ref="I19:I20" si="0">C19*E19</f>
        <v>4530.3030303030309</v>
      </c>
      <c r="J19" s="18">
        <f>C19*F19</f>
        <v>3742.4242424242429</v>
      </c>
      <c r="K19" s="14">
        <f>(N7+G19+(H13/10000))-I19</f>
        <v>1827.1966025896409</v>
      </c>
      <c r="L19" s="14">
        <f>(N7+H19+(K13/10000))-J19</f>
        <v>3073.5061123043442</v>
      </c>
      <c r="M19" s="14">
        <f t="shared" ref="M19:M20" si="1">K19/(12*5)</f>
        <v>30.453276709827346</v>
      </c>
      <c r="N19" s="14">
        <f t="shared" ref="N19:N20" si="2">L19/(12*10)</f>
        <v>25.612550935869535</v>
      </c>
    </row>
    <row r="20" spans="2:14" x14ac:dyDescent="0.15">
      <c r="B20" s="10" t="str">
        <f>B8</f>
        <v>晴海のマンション</v>
      </c>
      <c r="C20" s="14">
        <f>O8/3.3</f>
        <v>21.212121212121215</v>
      </c>
      <c r="D20" s="15">
        <f>(K8/C20)/10000</f>
        <v>245.14285714285714</v>
      </c>
      <c r="E20" s="16">
        <v>210</v>
      </c>
      <c r="F20" s="16">
        <v>180</v>
      </c>
      <c r="G20" s="17">
        <f>((G8*60)+(I8*5)+H8*12+((ROUNDDOWN(((MOD(D8,5)+1)/5),0)*5000)+H8)*12+((ROUNDDOWN(((MOD(D8,5)+2)/5),0)*5000)+H8)*12+((ROUNDDOWN(((MOD(D8,5)+3)/5),0)*5000)+H8)*12+((ROUNDDOWN(((MOD(D8,5)+4)/5),0)*5000)+H8)*12)/10000</f>
        <v>197</v>
      </c>
      <c r="H20" s="17">
        <f>((G8*120)+(I8*5)+(J8*5)+H8*12+((ROUNDDOWN(((MOD(D8,5)+1)/5),0)*5000)+H8)*12+((ROUNDDOWN(((MOD(D8,5)+2)/5),0)*5000)+H8)*12+((ROUNDDOWN(((MOD(D8,5)+3)/5),0)*5000)+H8)*12+((ROUNDDOWN(((MOD(D8,5)+4)/5),0)*5000)+H8)*12+((ROUNDDOWN(((MOD(D8,5)+5)/5),0)*5000)+H8)*12+((ROUNDDOWN(((MOD(D8,5)+6)/5),0)*5000)+H8)*12+((ROUNDDOWN(((MOD(D8,5)+7)/5),0)*5000)+H8)*12+((ROUNDDOWN(((MOD(D8,5)+8)/5),0)*5000)+H8)*12+((ROUNDDOWN(((MOD(D8,5)+9)/5),0)*5000)+H8)*12)/10000</f>
        <v>474</v>
      </c>
      <c r="I20" s="18">
        <f t="shared" si="0"/>
        <v>4454.545454545455</v>
      </c>
      <c r="J20" s="18">
        <f>C20*F20</f>
        <v>3818.1818181818185</v>
      </c>
      <c r="K20" s="14">
        <f>(N8+G20+(H14/10000))-I20</f>
        <v>1437.7942522482081</v>
      </c>
      <c r="L20" s="14">
        <f>(N8+H20+(K14/10000))-J20</f>
        <v>2476.080040897265</v>
      </c>
      <c r="M20" s="14">
        <f t="shared" si="1"/>
        <v>23.963237537470135</v>
      </c>
      <c r="N20" s="14">
        <f t="shared" si="2"/>
        <v>20.634000340810541</v>
      </c>
    </row>
    <row r="22" spans="2:14" x14ac:dyDescent="0.15">
      <c r="C22" s="19" t="s">
        <v>44</v>
      </c>
      <c r="I22" s="19" t="s">
        <v>45</v>
      </c>
    </row>
    <row r="23" spans="2:14" x14ac:dyDescent="0.15">
      <c r="B23" s="22" t="s">
        <v>0</v>
      </c>
      <c r="C23" s="26" t="s">
        <v>28</v>
      </c>
      <c r="D23" s="26"/>
      <c r="E23" s="27" t="s">
        <v>14</v>
      </c>
      <c r="F23" s="27"/>
      <c r="I23" s="26" t="s">
        <v>28</v>
      </c>
      <c r="J23" s="26"/>
      <c r="K23" s="27" t="s">
        <v>14</v>
      </c>
      <c r="L23" s="27"/>
    </row>
    <row r="24" spans="2:14" x14ac:dyDescent="0.15">
      <c r="B24" s="22"/>
      <c r="C24" s="28" t="s">
        <v>16</v>
      </c>
      <c r="D24" s="28" t="s">
        <v>17</v>
      </c>
      <c r="E24" s="28" t="s">
        <v>29</v>
      </c>
      <c r="F24" s="28" t="s">
        <v>30</v>
      </c>
      <c r="I24" s="28" t="s">
        <v>16</v>
      </c>
      <c r="J24" s="28" t="s">
        <v>17</v>
      </c>
      <c r="K24" s="28" t="s">
        <v>29</v>
      </c>
      <c r="L24" s="28" t="s">
        <v>30</v>
      </c>
    </row>
    <row r="25" spans="2:14" x14ac:dyDescent="0.15">
      <c r="B25" s="10" t="str">
        <f>B6</f>
        <v>東雲のマンション</v>
      </c>
      <c r="C25" s="14">
        <f>(N6+G18+(H12/10000))-I18-100</f>
        <v>1399.6818910475749</v>
      </c>
      <c r="D25" s="14">
        <f>(N6+H18+(K12/10000))-J18-200</f>
        <v>2400.8430740626632</v>
      </c>
      <c r="E25" s="14">
        <f>C25/(12*5)</f>
        <v>23.328031517459582</v>
      </c>
      <c r="F25" s="14">
        <f>D25/(12*10)</f>
        <v>20.007025617188859</v>
      </c>
      <c r="I25" s="14">
        <f>(N6+G18+(H12/10000))-I18-200</f>
        <v>1299.6818910475749</v>
      </c>
      <c r="J25" s="14">
        <f>(N6+H18+(K12/10000))-J18-400</f>
        <v>2200.8430740626632</v>
      </c>
      <c r="K25" s="14">
        <f>I25/(12*5)</f>
        <v>21.661364850792914</v>
      </c>
      <c r="L25" s="14">
        <f>J25/(12*10)</f>
        <v>18.340358950522194</v>
      </c>
    </row>
    <row r="26" spans="2:14" x14ac:dyDescent="0.15">
      <c r="B26" s="10" t="str">
        <f>B7</f>
        <v>豊洲の中古マンション</v>
      </c>
      <c r="C26" s="14">
        <f>(N7+G19+(H13/10000))-I19-100</f>
        <v>1727.1966025896409</v>
      </c>
      <c r="D26" s="14">
        <f>(N7+H19+(K13/10000))-J19-200</f>
        <v>2873.5061123043442</v>
      </c>
      <c r="E26" s="14">
        <f t="shared" ref="E26:E27" si="3">C26/(12*5)</f>
        <v>28.786610043160682</v>
      </c>
      <c r="F26" s="14">
        <f t="shared" ref="F26:F27" si="4">D26/(12*10)</f>
        <v>23.945884269202868</v>
      </c>
      <c r="I26" s="14">
        <f>(N7+G19+(H13/10000))-I19-200</f>
        <v>1627.1966025896409</v>
      </c>
      <c r="J26" s="14">
        <f>(N7+H19+(K13/10000))-J19-400</f>
        <v>2673.5061123043442</v>
      </c>
      <c r="K26" s="14">
        <f t="shared" ref="K26:K27" si="5">I26/(12*5)</f>
        <v>27.119943376494014</v>
      </c>
      <c r="L26" s="14">
        <f t="shared" ref="L26:L27" si="6">J26/(12*10)</f>
        <v>22.279217602536203</v>
      </c>
    </row>
    <row r="27" spans="2:14" x14ac:dyDescent="0.15">
      <c r="B27" s="10" t="str">
        <f>B8</f>
        <v>晴海のマンション</v>
      </c>
      <c r="C27" s="14">
        <f>(N8+G20+(H14/10000))-I20-100</f>
        <v>1337.7942522482081</v>
      </c>
      <c r="D27" s="14">
        <f>(N8+H20+(K14/10000))-J20-200</f>
        <v>2276.080040897265</v>
      </c>
      <c r="E27" s="14">
        <f t="shared" si="3"/>
        <v>22.296570870803468</v>
      </c>
      <c r="F27" s="14">
        <f t="shared" si="4"/>
        <v>18.967333674143877</v>
      </c>
      <c r="I27" s="14">
        <f>(N8+G20+(H14/10000))-I20-200</f>
        <v>1237.7942522482081</v>
      </c>
      <c r="J27" s="14">
        <f>(N8+H20+(K14/10000))-J20-400</f>
        <v>2076.080040897265</v>
      </c>
      <c r="K27" s="14">
        <f t="shared" si="5"/>
        <v>20.6299042041368</v>
      </c>
      <c r="L27" s="14">
        <f t="shared" si="6"/>
        <v>17.300667007477209</v>
      </c>
    </row>
    <row r="29" spans="2:14" x14ac:dyDescent="0.15">
      <c r="B29" s="20" t="s">
        <v>51</v>
      </c>
      <c r="C29" s="2" t="s">
        <v>52</v>
      </c>
    </row>
    <row r="30" spans="2:14" x14ac:dyDescent="0.15">
      <c r="C30" s="2" t="s">
        <v>48</v>
      </c>
    </row>
    <row r="31" spans="2:14" x14ac:dyDescent="0.15">
      <c r="C31" s="2" t="s">
        <v>49</v>
      </c>
    </row>
    <row r="32" spans="2:14" x14ac:dyDescent="0.15">
      <c r="C32" s="2" t="s">
        <v>53</v>
      </c>
    </row>
  </sheetData>
  <mergeCells count="37">
    <mergeCell ref="C23:D23"/>
    <mergeCell ref="E23:F23"/>
    <mergeCell ref="I23:J23"/>
    <mergeCell ref="K23:L23"/>
    <mergeCell ref="B10:B11"/>
    <mergeCell ref="B16:B17"/>
    <mergeCell ref="B23:B24"/>
    <mergeCell ref="C10:C11"/>
    <mergeCell ref="E10:E11"/>
    <mergeCell ref="D10:D11"/>
    <mergeCell ref="F10:F11"/>
    <mergeCell ref="G10:G11"/>
    <mergeCell ref="J10:J11"/>
    <mergeCell ref="I10:I11"/>
    <mergeCell ref="L10:L11"/>
    <mergeCell ref="H10:H11"/>
    <mergeCell ref="K10:K11"/>
    <mergeCell ref="B4:B5"/>
    <mergeCell ref="C4:C5"/>
    <mergeCell ref="E4:E5"/>
    <mergeCell ref="F4:F5"/>
    <mergeCell ref="G16:H16"/>
    <mergeCell ref="I16:J16"/>
    <mergeCell ref="K16:L16"/>
    <mergeCell ref="M16:N16"/>
    <mergeCell ref="D4:D5"/>
    <mergeCell ref="L4:L5"/>
    <mergeCell ref="M4:M5"/>
    <mergeCell ref="N4:N5"/>
    <mergeCell ref="O4:O5"/>
    <mergeCell ref="C16:C17"/>
    <mergeCell ref="D16:F16"/>
    <mergeCell ref="G4:G5"/>
    <mergeCell ref="H4:H5"/>
    <mergeCell ref="I4:I5"/>
    <mergeCell ref="J4:J5"/>
    <mergeCell ref="K4:K5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2013-01-20T12:03:38Z</dcterms:created>
  <dcterms:modified xsi:type="dcterms:W3CDTF">2013-01-21T14:48:31Z</dcterms:modified>
</cp:coreProperties>
</file>